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EST" sheetId="3" r:id="rId1"/>
  </sheets>
  <definedNames>
    <definedName name="_xlnm._FilterDatabase" localSheetId="0" hidden="1">REP_EST!$A$8:$P$45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REP_EST!$C$8:$P$45</definedName>
  </definedNames>
  <calcPr calcId="124519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P7" i="3"/>
  <c r="F7"/>
  <c r="G7"/>
  <c r="H7"/>
  <c r="I7"/>
  <c r="J7"/>
  <c r="K7"/>
  <c r="L7"/>
  <c r="E7"/>
  <c r="O19"/>
  <c r="D38"/>
  <c r="B11"/>
  <c r="O44"/>
  <c r="N23"/>
  <c r="C20"/>
  <c r="B24"/>
  <c r="B18"/>
  <c r="M18"/>
  <c r="D36"/>
  <c r="B15"/>
  <c r="A45"/>
  <c r="B44"/>
  <c r="N19"/>
  <c r="M22"/>
  <c r="D13"/>
  <c r="O24"/>
  <c r="O34"/>
  <c r="O37"/>
  <c r="O14"/>
  <c r="D31"/>
  <c r="O12"/>
  <c r="O22"/>
  <c r="B29"/>
  <c r="N44"/>
  <c r="M17"/>
  <c r="A26"/>
  <c r="M21"/>
  <c r="D30"/>
  <c r="M20"/>
  <c r="D39"/>
  <c r="B43"/>
  <c r="O18"/>
  <c r="B23"/>
  <c r="B12"/>
  <c r="C34"/>
  <c r="O11"/>
  <c r="A44"/>
  <c r="B35"/>
  <c r="A38"/>
  <c r="A21"/>
  <c r="O10"/>
  <c r="A37"/>
  <c r="N33"/>
  <c r="M43"/>
  <c r="B13"/>
  <c r="D17"/>
  <c r="A40"/>
  <c r="C38"/>
  <c r="M8"/>
  <c r="A39"/>
  <c r="A28"/>
  <c r="D44"/>
  <c r="O13"/>
  <c r="C12"/>
  <c r="A18"/>
  <c r="M33"/>
  <c r="O38"/>
  <c r="N37"/>
  <c r="C19"/>
  <c r="B37"/>
  <c r="M37"/>
  <c r="D19"/>
  <c r="A32"/>
  <c r="N22"/>
  <c r="A27"/>
  <c r="M28"/>
  <c r="D28"/>
  <c r="L8"/>
  <c r="O45"/>
  <c r="O30"/>
  <c r="D41"/>
  <c r="B32"/>
  <c r="C29"/>
  <c r="O41"/>
  <c r="D14"/>
  <c r="M24"/>
  <c r="M15"/>
  <c r="O28"/>
  <c r="M16"/>
  <c r="M41"/>
  <c r="M31"/>
  <c r="C36"/>
  <c r="B14"/>
  <c r="C30"/>
  <c r="A36"/>
  <c r="D37"/>
  <c r="M35"/>
  <c r="N24"/>
  <c r="B16"/>
  <c r="C17"/>
  <c r="C27"/>
  <c r="O16"/>
  <c r="C41"/>
  <c r="D27"/>
  <c r="B10"/>
  <c r="N16"/>
  <c r="I8"/>
  <c r="D9"/>
  <c r="C43"/>
  <c r="D16"/>
  <c r="M26"/>
  <c r="N31"/>
  <c r="N38"/>
  <c r="C9"/>
  <c r="C21"/>
  <c r="N29"/>
  <c r="A31"/>
  <c r="B40"/>
  <c r="B22"/>
  <c r="N26"/>
  <c r="H8"/>
  <c r="A25"/>
  <c r="M12"/>
  <c r="A35"/>
  <c r="B21"/>
  <c r="N45"/>
  <c r="N35"/>
  <c r="O15"/>
  <c r="C11"/>
  <c r="N21"/>
  <c r="A30"/>
  <c r="N15"/>
  <c r="B31"/>
  <c r="M39"/>
  <c r="O39"/>
  <c r="C28"/>
  <c r="N10"/>
  <c r="N17"/>
  <c r="O33"/>
  <c r="N12"/>
  <c r="O25"/>
  <c r="E8"/>
  <c r="B19"/>
  <c r="B45"/>
  <c r="M44"/>
  <c r="D42"/>
  <c r="A16"/>
  <c r="N27"/>
  <c r="D43"/>
  <c r="O29"/>
  <c r="M11"/>
  <c r="A41"/>
  <c r="D45"/>
  <c r="A33"/>
  <c r="M14"/>
  <c r="C40"/>
  <c r="C10"/>
  <c r="A22"/>
  <c r="O42"/>
  <c r="G8"/>
  <c r="C31"/>
  <c r="A34"/>
  <c r="N28"/>
  <c r="A23"/>
  <c r="B25"/>
  <c r="M27"/>
  <c r="C32"/>
  <c r="C18"/>
  <c r="M29"/>
  <c r="B26"/>
  <c r="O40"/>
  <c r="O9"/>
  <c r="C26"/>
  <c r="D33"/>
  <c r="C14"/>
  <c r="F8"/>
  <c r="B42"/>
  <c r="N14"/>
  <c r="D35"/>
  <c r="M34"/>
  <c r="N30"/>
  <c r="C44"/>
  <c r="M38"/>
  <c r="B27"/>
  <c r="O27"/>
  <c r="O35"/>
  <c r="O23"/>
  <c r="D10"/>
  <c r="M10"/>
  <c r="A8"/>
  <c r="D8"/>
  <c r="N43"/>
  <c r="C45"/>
  <c r="M36"/>
  <c r="A19"/>
  <c r="C16"/>
  <c r="M30"/>
  <c r="D20"/>
  <c r="O20"/>
  <c r="C25"/>
  <c r="A29"/>
  <c r="D23"/>
  <c r="A9"/>
  <c r="M19"/>
  <c r="O36"/>
  <c r="M23"/>
  <c r="B8"/>
  <c r="N9"/>
  <c r="B36"/>
  <c r="A10"/>
  <c r="O17"/>
  <c r="D12"/>
  <c r="M9"/>
  <c r="N18"/>
  <c r="O31"/>
  <c r="D18"/>
  <c r="B34"/>
  <c r="D21"/>
  <c r="A43"/>
  <c r="C42"/>
  <c r="J8"/>
  <c r="C13"/>
  <c r="B38"/>
  <c r="B41"/>
  <c r="C37"/>
  <c r="N11"/>
  <c r="O21"/>
  <c r="B9"/>
  <c r="D11"/>
  <c r="D24"/>
  <c r="N34"/>
  <c r="C8"/>
  <c r="N36"/>
  <c r="M42"/>
  <c r="K8"/>
  <c r="D34"/>
  <c r="N41"/>
  <c r="M13"/>
  <c r="C23"/>
  <c r="B33"/>
  <c r="N20"/>
  <c r="O8"/>
  <c r="C39"/>
  <c r="A13"/>
  <c r="A11"/>
  <c r="B17"/>
  <c r="M45"/>
  <c r="B28"/>
  <c r="A12"/>
  <c r="A14"/>
  <c r="C22"/>
  <c r="A15"/>
  <c r="C15"/>
  <c r="D40"/>
  <c r="B39"/>
  <c r="D15"/>
  <c r="N39"/>
  <c r="N25"/>
  <c r="C33"/>
  <c r="M25"/>
  <c r="A20"/>
  <c r="D26"/>
  <c r="B30"/>
  <c r="O43"/>
  <c r="D29"/>
  <c r="A42"/>
  <c r="D22"/>
  <c r="N8"/>
  <c r="M40"/>
  <c r="O26"/>
  <c r="C35"/>
  <c r="N13"/>
  <c r="D25"/>
  <c r="N42"/>
  <c r="N40"/>
  <c r="C24"/>
  <c r="A24"/>
  <c r="A17"/>
  <c r="B20"/>
  <c r="C6" l="1"/>
</calcChain>
</file>

<file path=xl/sharedStrings.xml><?xml version="1.0" encoding="utf-8"?>
<sst xmlns="http://schemas.openxmlformats.org/spreadsheetml/2006/main" count="26" uniqueCount="26">
  <si>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</si>
  <si>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</si>
  <si>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</si>
  <si>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</si>
  <si>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</si>
  <si>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</si>
  <si>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</si>
  <si>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</si>
  <si>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</si>
  <si>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</si>
  <si>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</si>
  <si>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</si>
  <si>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</si>
  <si>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</si>
  <si>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</si>
  <si>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</si>
  <si>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104</t>
  </si>
  <si>
    <t>10524500000186</t>
  </si>
  <si>
    <t>2525</t>
  </si>
  <si>
    <t>14898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</si>
  <si>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</si>
  <si>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</si>
  <si>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</si>
  <si>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</si>
  <si>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</si>
  <si>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9º REPASSE TESOURO ESTADUAL - PNAE TOCANTINS  -  ESCOLA EM PERÍODO PARCIAL </t>
  </si>
</sst>
</file>

<file path=xl/styles.xml><?xml version="1.0" encoding="utf-8"?>
<styleSheet xmlns="http://schemas.openxmlformats.org/spreadsheetml/2006/main">
  <fonts count="17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  <fill>
      <patternFill patternType="solid">
        <fgColor theme="2" tint="-9.9978637043366805E-2"/>
        <bgColor rgb="FFFFFFFF"/>
      </patternFill>
    </fill>
  </fills>
  <borders count="19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0" fontId="3" fillId="10" borderId="15" xfId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/>
    <xf numFmtId="49" fontId="4" fillId="0" borderId="6" xfId="0" applyNumberFormat="1" applyFont="1" applyFill="1" applyBorder="1"/>
    <xf numFmtId="4" fontId="4" fillId="6" borderId="18" xfId="0" applyNumberFormat="1" applyFont="1" applyFill="1" applyBorder="1" applyAlignment="1">
      <alignment vertical="center"/>
    </xf>
    <xf numFmtId="0" fontId="4" fillId="6" borderId="17" xfId="0" applyFont="1" applyFill="1" applyBorder="1"/>
    <xf numFmtId="49" fontId="4" fillId="6" borderId="17" xfId="0" applyNumberFormat="1" applyFont="1" applyFill="1" applyBorder="1" applyAlignment="1">
      <alignment horizontal="center"/>
    </xf>
    <xf numFmtId="4" fontId="16" fillId="6" borderId="17" xfId="0" applyNumberFormat="1" applyFont="1" applyFill="1" applyBorder="1"/>
    <xf numFmtId="49" fontId="4" fillId="6" borderId="17" xfId="0" applyNumberFormat="1" applyFont="1" applyFill="1" applyBorder="1"/>
    <xf numFmtId="4" fontId="4" fillId="6" borderId="17" xfId="0" applyNumberFormat="1" applyFont="1" applyFill="1" applyBorder="1" applyAlignment="1">
      <alignment vertical="center"/>
    </xf>
    <xf numFmtId="0" fontId="4" fillId="6" borderId="16" xfId="0" applyFont="1" applyFill="1" applyBorder="1"/>
    <xf numFmtId="0" fontId="4" fillId="7" borderId="17" xfId="0" applyFont="1" applyFill="1" applyBorder="1"/>
    <xf numFmtId="49" fontId="4" fillId="7" borderId="17" xfId="0" applyNumberFormat="1" applyFont="1" applyFill="1" applyBorder="1" applyAlignment="1">
      <alignment horizontal="center"/>
    </xf>
    <xf numFmtId="4" fontId="16" fillId="7" borderId="17" xfId="0" applyNumberFormat="1" applyFont="1" applyFill="1" applyBorder="1"/>
    <xf numFmtId="49" fontId="4" fillId="7" borderId="17" xfId="0" applyNumberFormat="1" applyFont="1" applyFill="1" applyBorder="1"/>
    <xf numFmtId="4" fontId="4" fillId="11" borderId="17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6" xfId="1" applyFont="1" applyFill="1" applyBorder="1"/>
    <xf numFmtId="49" fontId="4" fillId="0" borderId="6" xfId="1" applyNumberFormat="1" applyFont="1" applyFill="1" applyBorder="1" applyAlignment="1">
      <alignment horizontal="center"/>
    </xf>
    <xf numFmtId="4" fontId="4" fillId="0" borderId="6" xfId="1" applyNumberFormat="1" applyFont="1" applyFill="1" applyBorder="1"/>
    <xf numFmtId="49" fontId="4" fillId="0" borderId="6" xfId="1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P45"/>
  <sheetViews>
    <sheetView showGridLines="0" tabSelected="1" workbookViewId="0">
      <pane ySplit="8" topLeftCell="A9" activePane="bottomLeft" state="frozen"/>
      <selection pane="bottomLeft" activeCell="A5" sqref="A5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20</v>
      </c>
      <c r="B1" s="9"/>
      <c r="C1" s="9" t="s">
        <v>0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customFormat="1" ht="24.95" customHeight="1">
      <c r="A2" s="8" t="s">
        <v>21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22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51" t="s">
        <v>25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COUNTA(C9:C45)</f>
        <v>UNIDADES EXECUTORAS = 37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23</v>
      </c>
      <c r="J6" s="24" t="s">
        <v>24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SUM(E9:E45)</f>
        <v>228.8</v>
      </c>
      <c r="F7" s="13">
        <f t="shared" si="0"/>
        <v>445.2</v>
      </c>
      <c r="G7" s="13">
        <f t="shared" si="0"/>
        <v>3519.5999999999995</v>
      </c>
      <c r="H7" s="13">
        <f t="shared" si="0"/>
        <v>59404.800000000003</v>
      </c>
      <c r="I7" s="13">
        <f t="shared" si="0"/>
        <v>0</v>
      </c>
      <c r="J7" s="13">
        <f t="shared" si="0"/>
        <v>705.6</v>
      </c>
      <c r="K7" s="13">
        <f t="shared" si="0"/>
        <v>83311.199999999997</v>
      </c>
      <c r="L7" s="13">
        <f t="shared" si="0"/>
        <v>21814.799999999999</v>
      </c>
      <c r="M7" s="48" t="s">
        <v>2</v>
      </c>
      <c r="N7" s="49"/>
      <c r="O7" s="50"/>
      <c r="P7" s="14">
        <f>SUM(P9:P45)</f>
        <v>169430.00000000003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IFERROR(__xludf.DUMMYFUNCTION("""COMPUTED_VALUE"""),"Palmas")</f>
        <v>Palmas</v>
      </c>
      <c r="B9" s="22" t="str">
        <f ca="1">IFERROR(__xludf.DUMMYFUNCTION("""COMPUTED_VALUE"""),"Aparecida do Rio Negro")</f>
        <v>Aparecida do Rio Negro</v>
      </c>
      <c r="C9" s="22" t="str">
        <f ca="1">IFERROR(__xludf.DUMMYFUNCTION("""COMPUTED_VALUE"""),"ASS. DE AP. DO COL. EST. MEIRA MATOS")</f>
        <v>ASS. DE AP. DO COL. EST. MEIRA MATOS</v>
      </c>
      <c r="D9" s="23" t="str">
        <f ca="1">IFERROR(__xludf.DUMMYFUNCTION("""COMPUTED_VALUE"""),"01186452000172")</f>
        <v>01186452000172</v>
      </c>
      <c r="E9" s="27">
        <v>0</v>
      </c>
      <c r="F9" s="27">
        <v>0</v>
      </c>
      <c r="G9" s="27">
        <v>134.4</v>
      </c>
      <c r="H9" s="27">
        <v>1024.8</v>
      </c>
      <c r="I9" s="27">
        <v>0</v>
      </c>
      <c r="J9" s="27">
        <v>0</v>
      </c>
      <c r="K9" s="27">
        <v>1814.4</v>
      </c>
      <c r="L9" s="27">
        <v>159.6</v>
      </c>
      <c r="M9" s="28" t="str">
        <f ca="1">IFERROR(__xludf.DUMMYFUNCTION("""COMPUTED_VALUE"""),"001")</f>
        <v>001</v>
      </c>
      <c r="N9" s="28" t="str">
        <f ca="1">IFERROR(__xludf.DUMMYFUNCTION("""COMPUTED_VALUE"""),"1505")</f>
        <v>1505</v>
      </c>
      <c r="O9" s="28" t="str">
        <f ca="1">IFERROR(__xludf.DUMMYFUNCTION("""COMPUTED_VALUE"""),"327972")</f>
        <v>327972</v>
      </c>
      <c r="P9" s="41">
        <v>3133.2000000000003</v>
      </c>
    </row>
    <row r="10" spans="1:16" s="8" customFormat="1" ht="21.95" customHeight="1">
      <c r="A10" s="30" t="str">
        <f ca="1">IFERROR(__xludf.DUMMYFUNCTION("""COMPUTED_VALUE"""),"Palmas")</f>
        <v>Palmas</v>
      </c>
      <c r="B10" s="30" t="str">
        <f ca="1">IFERROR(__xludf.DUMMYFUNCTION("""COMPUTED_VALUE"""),"Lagoa do Tocantins")</f>
        <v>Lagoa do Tocantins</v>
      </c>
      <c r="C10" s="30" t="str">
        <f ca="1">IFERROR(__xludf.DUMMYFUNCTION("""COMPUTED_VALUE"""),"ASS. DE AP. DA ESC. EST. SALMON DO A.BRITO")</f>
        <v>ASS. DE AP. DA ESC. EST. SALMON DO A.BRITO</v>
      </c>
      <c r="D10" s="31" t="str">
        <f ca="1">IFERROR(__xludf.DUMMYFUNCTION("""COMPUTED_VALUE"""),"01440941000109")</f>
        <v>01440941000109</v>
      </c>
      <c r="E10" s="32">
        <v>0</v>
      </c>
      <c r="F10" s="32">
        <v>0</v>
      </c>
      <c r="G10" s="32">
        <v>0</v>
      </c>
      <c r="H10" s="32">
        <v>2200.8000000000002</v>
      </c>
      <c r="I10" s="32">
        <v>0</v>
      </c>
      <c r="J10" s="32">
        <v>0</v>
      </c>
      <c r="K10" s="32">
        <v>1562.4</v>
      </c>
      <c r="L10" s="32">
        <v>0</v>
      </c>
      <c r="M10" s="33" t="str">
        <f ca="1">IFERROR(__xludf.DUMMYFUNCTION("""COMPUTED_VALUE"""),"001")</f>
        <v>001</v>
      </c>
      <c r="N10" s="33" t="str">
        <f ca="1">IFERROR(__xludf.DUMMYFUNCTION("""COMPUTED_VALUE"""),"1505")</f>
        <v>1505</v>
      </c>
      <c r="O10" s="33" t="str">
        <f ca="1">IFERROR(__xludf.DUMMYFUNCTION("""COMPUTED_VALUE"""),"465410")</f>
        <v>465410</v>
      </c>
      <c r="P10" s="34">
        <v>3763.2000000000003</v>
      </c>
    </row>
    <row r="11" spans="1:16" s="8" customFormat="1" ht="21.95" customHeight="1">
      <c r="A11" s="22" t="str">
        <f ca="1">IFERROR(__xludf.DUMMYFUNCTION("""COMPUTED_VALUE"""),"Palmas")</f>
        <v>Palmas</v>
      </c>
      <c r="B11" s="22" t="str">
        <f ca="1">IFERROR(__xludf.DUMMYFUNCTION("""COMPUTED_VALUE"""),"Lajeado")</f>
        <v>Lajeado</v>
      </c>
      <c r="C11" s="22" t="str">
        <f ca="1">IFERROR(__xludf.DUMMYFUNCTION("""COMPUTED_VALUE"""),"A.A. COM. E. E.N.SRA.DA PROVIDENCIA")</f>
        <v>A.A. COM. E. E.N.SRA.DA PROVIDENCIA</v>
      </c>
      <c r="D11" s="23" t="str">
        <f ca="1">IFERROR(__xludf.DUMMYFUNCTION("""COMPUTED_VALUE"""),"01138324000153")</f>
        <v>01138324000153</v>
      </c>
      <c r="E11" s="27">
        <v>0</v>
      </c>
      <c r="F11" s="27">
        <v>0</v>
      </c>
      <c r="G11" s="27">
        <v>151.19999999999999</v>
      </c>
      <c r="H11" s="27">
        <v>756</v>
      </c>
      <c r="I11" s="27">
        <v>0</v>
      </c>
      <c r="J11" s="27">
        <v>0</v>
      </c>
      <c r="K11" s="27">
        <v>974.4</v>
      </c>
      <c r="L11" s="27">
        <v>336</v>
      </c>
      <c r="M11" s="28" t="str">
        <f ca="1">IFERROR(__xludf.DUMMYFUNCTION("""COMPUTED_VALUE"""),"001")</f>
        <v>001</v>
      </c>
      <c r="N11" s="28" t="str">
        <f ca="1">IFERROR(__xludf.DUMMYFUNCTION("""COMPUTED_VALUE"""),"0862")</f>
        <v>0862</v>
      </c>
      <c r="O11" s="28" t="str">
        <f ca="1">IFERROR(__xludf.DUMMYFUNCTION("""COMPUTED_VALUE"""),"69132")</f>
        <v>69132</v>
      </c>
      <c r="P11" s="41">
        <v>2217.6</v>
      </c>
    </row>
    <row r="12" spans="1:16" s="8" customFormat="1" ht="21.95" customHeight="1">
      <c r="A12" s="30" t="str">
        <f ca="1">IFERROR(__xludf.DUMMYFUNCTION("""COMPUTED_VALUE"""),"Palmas")</f>
        <v>Palmas</v>
      </c>
      <c r="B12" s="30" t="str">
        <f ca="1">IFERROR(__xludf.DUMMYFUNCTION("""COMPUTED_VALUE"""),"Mateiros")</f>
        <v>Mateiros</v>
      </c>
      <c r="C12" s="30" t="str">
        <f ca="1">IFERROR(__xludf.DUMMYFUNCTION("""COMPUTED_VALUE"""),"ASS. A. ESC. EST.ESTEFANIO TELES DAS CHAGAS")</f>
        <v>ASS. A. ESC. EST.ESTEFANIO TELES DAS CHAGAS</v>
      </c>
      <c r="D12" s="31" t="str">
        <f ca="1">IFERROR(__xludf.DUMMYFUNCTION("""COMPUTED_VALUE"""),"01206219000104")</f>
        <v>01206219000104</v>
      </c>
      <c r="E12" s="32">
        <v>0</v>
      </c>
      <c r="F12" s="32">
        <v>0</v>
      </c>
      <c r="G12" s="32">
        <v>0</v>
      </c>
      <c r="H12" s="32">
        <v>1360.8</v>
      </c>
      <c r="I12" s="32">
        <v>0</v>
      </c>
      <c r="J12" s="32">
        <v>0</v>
      </c>
      <c r="K12" s="32">
        <v>856.8</v>
      </c>
      <c r="L12" s="32">
        <v>176.4</v>
      </c>
      <c r="M12" s="33" t="str">
        <f ca="1">IFERROR(__xludf.DUMMYFUNCTION("""COMPUTED_VALUE"""),"001")</f>
        <v>001</v>
      </c>
      <c r="N12" s="33" t="str">
        <f ca="1">IFERROR(__xludf.DUMMYFUNCTION("""COMPUTED_VALUE"""),"3962")</f>
        <v>3962</v>
      </c>
      <c r="O12" s="33" t="str">
        <f ca="1">IFERROR(__xludf.DUMMYFUNCTION("""COMPUTED_VALUE"""),"127795")</f>
        <v>127795</v>
      </c>
      <c r="P12" s="34">
        <v>2394</v>
      </c>
    </row>
    <row r="13" spans="1:16" s="8" customFormat="1" ht="21.95" customHeight="1">
      <c r="A13" s="22" t="str">
        <f ca="1">IFERROR(__xludf.DUMMYFUNCTION("""COMPUTED_VALUE"""),"Palmas")</f>
        <v>Palmas</v>
      </c>
      <c r="B13" s="22" t="str">
        <f ca="1">IFERROR(__xludf.DUMMYFUNCTION("""COMPUTED_VALUE"""),"Mateiros")</f>
        <v>Mateiros</v>
      </c>
      <c r="C13" s="22" t="str">
        <f ca="1">IFERROR(__xludf.DUMMYFUNCTION("""COMPUTED_VALUE"""),"ASSOC. DE APOIO A ESC. EST. SILVERIO RIBEIRO MATOS")</f>
        <v>ASSOC. DE APOIO A ESC. EST. SILVERIO RIBEIRO MATOS</v>
      </c>
      <c r="D13" s="23" t="str">
        <f ca="1">IFERROR(__xludf.DUMMYFUNCTION("""COMPUTED_VALUE"""),"13439520000147")</f>
        <v>13439520000147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705.6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IFERROR(__xludf.DUMMYFUNCTION("""COMPUTED_VALUE"""),"3962")</f>
        <v>3962</v>
      </c>
      <c r="O13" s="28" t="str">
        <f ca="1">IFERROR(__xludf.DUMMYFUNCTION("""COMPUTED_VALUE"""),"261882")</f>
        <v>261882</v>
      </c>
      <c r="P13" s="41">
        <v>705.6</v>
      </c>
    </row>
    <row r="14" spans="1:16" s="8" customFormat="1" ht="21.95" customHeight="1">
      <c r="A14" s="30" t="str">
        <f ca="1">IFERROR(__xludf.DUMMYFUNCTION("""COMPUTED_VALUE"""),"Palmas")</f>
        <v>Palmas</v>
      </c>
      <c r="B14" s="30" t="str">
        <f ca="1">IFERROR(__xludf.DUMMYFUNCTION("""COMPUTED_VALUE"""),"Novo Acordo")</f>
        <v>Novo Acordo</v>
      </c>
      <c r="C14" s="30" t="str">
        <f ca="1">IFERROR(__xludf.DUMMYFUNCTION("""COMPUTED_VALUE"""),"ASS. A. AO COL. EST. D. PEDRO I/N.ACORDO")</f>
        <v>ASS. A. AO COL. EST. D. PEDRO I/N.ACORDO</v>
      </c>
      <c r="D14" s="31" t="str">
        <f ca="1">IFERROR(__xludf.DUMMYFUNCTION("""COMPUTED_VALUE"""),"01133690000110")</f>
        <v>01133690000110</v>
      </c>
      <c r="E14" s="32">
        <v>0</v>
      </c>
      <c r="F14" s="32">
        <v>0</v>
      </c>
      <c r="G14" s="32">
        <v>327.60000000000002</v>
      </c>
      <c r="H14" s="32">
        <v>1738.8</v>
      </c>
      <c r="I14" s="32">
        <v>0</v>
      </c>
      <c r="J14" s="32">
        <v>0</v>
      </c>
      <c r="K14" s="32">
        <v>1562.4</v>
      </c>
      <c r="L14" s="32">
        <v>0</v>
      </c>
      <c r="M14" s="33" t="str">
        <f ca="1">IFERROR(__xludf.DUMMYFUNCTION("""COMPUTED_VALUE"""),"001")</f>
        <v>001</v>
      </c>
      <c r="N14" s="33" t="str">
        <f ca="1">IFERROR(__xludf.DUMMYFUNCTION("""COMPUTED_VALUE"""),"1505")</f>
        <v>1505</v>
      </c>
      <c r="O14" s="33" t="str">
        <f ca="1">IFERROR(__xludf.DUMMYFUNCTION("""COMPUTED_VALUE"""),"157856")</f>
        <v>157856</v>
      </c>
      <c r="P14" s="34">
        <v>3628.8</v>
      </c>
    </row>
    <row r="15" spans="1:16" s="8" customFormat="1" ht="21.95" customHeight="1">
      <c r="A15" s="22" t="str">
        <f ca="1">IFERROR(__xludf.DUMMYFUNCTION("""COMPUTED_VALUE"""),"Palmas")</f>
        <v>Palmas</v>
      </c>
      <c r="B15" s="22" t="str">
        <f ca="1">IFERROR(__xludf.DUMMYFUNCTION("""COMPUTED_VALUE"""),"Novo Acordo")</f>
        <v>Novo Acordo</v>
      </c>
      <c r="C15" s="22" t="str">
        <f ca="1">IFERROR(__xludf.DUMMYFUNCTION("""COMPUTED_VALUE"""),"A.A. DA ESC. EST.PEDRO MACEDO / N.ACORDO")</f>
        <v>A.A. DA ESC. EST.PEDRO MACEDO / N.ACORDO</v>
      </c>
      <c r="D15" s="23" t="str">
        <f ca="1">IFERROR(__xludf.DUMMYFUNCTION("""COMPUTED_VALUE"""),"01136004000164")</f>
        <v>01136004000164</v>
      </c>
      <c r="E15" s="27">
        <v>0</v>
      </c>
      <c r="F15" s="27">
        <v>0</v>
      </c>
      <c r="G15" s="27">
        <v>159.6</v>
      </c>
      <c r="H15" s="27">
        <v>772.8</v>
      </c>
      <c r="I15" s="27">
        <v>0</v>
      </c>
      <c r="J15" s="27">
        <v>0</v>
      </c>
      <c r="K15" s="27">
        <v>0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IFERROR(__xludf.DUMMYFUNCTION("""COMPUTED_VALUE"""),"1505")</f>
        <v>1505</v>
      </c>
      <c r="O15" s="28" t="str">
        <f ca="1">IFERROR(__xludf.DUMMYFUNCTION("""COMPUTED_VALUE"""),"171166")</f>
        <v>171166</v>
      </c>
      <c r="P15" s="41">
        <v>932.4</v>
      </c>
    </row>
    <row r="16" spans="1:16" s="8" customFormat="1" ht="21.95" customHeight="1">
      <c r="A16" s="30" t="str">
        <f ca="1">IFERROR(__xludf.DUMMYFUNCTION("""COMPUTED_VALUE"""),"Palmas")</f>
        <v>Palmas</v>
      </c>
      <c r="B16" s="30" t="str">
        <f ca="1">IFERROR(__xludf.DUMMYFUNCTION("""COMPUTED_VALUE"""),"Palmas")</f>
        <v>Palmas</v>
      </c>
      <c r="C16" s="30" t="str">
        <f ca="1">IFERROR(__xludf.DUMMYFUNCTION("""COMPUTED_VALUE"""),"A. DE CONSELHO ESCOLAR DO CEM 305 NORTE")</f>
        <v>A. DE CONSELHO ESCOLAR DO CEM 305 NORTE</v>
      </c>
      <c r="D16" s="31" t="str">
        <f ca="1">IFERROR(__xludf.DUMMYFUNCTION("""COMPUTED_VALUE"""),"04701394000166")</f>
        <v>04701394000166</v>
      </c>
      <c r="E16" s="32">
        <v>0</v>
      </c>
      <c r="F16" s="32">
        <v>0</v>
      </c>
      <c r="G16" s="32">
        <v>109.2</v>
      </c>
      <c r="H16" s="32">
        <v>0</v>
      </c>
      <c r="I16" s="32">
        <v>0</v>
      </c>
      <c r="J16" s="32">
        <v>0</v>
      </c>
      <c r="K16" s="32">
        <v>6342</v>
      </c>
      <c r="L16" s="32">
        <v>0</v>
      </c>
      <c r="M16" s="33" t="str">
        <f ca="1">IFERROR(__xludf.DUMMYFUNCTION("""COMPUTED_VALUE"""),"001")</f>
        <v>001</v>
      </c>
      <c r="N16" s="33" t="str">
        <f ca="1">IFERROR(__xludf.DUMMYFUNCTION("""COMPUTED_VALUE"""),"1505")</f>
        <v>1505</v>
      </c>
      <c r="O16" s="33" t="str">
        <f ca="1">IFERROR(__xludf.DUMMYFUNCTION("""COMPUTED_VALUE"""),"455261")</f>
        <v>455261</v>
      </c>
      <c r="P16" s="34">
        <v>6451.2</v>
      </c>
    </row>
    <row r="17" spans="1:16" s="8" customFormat="1" ht="21.95" customHeight="1">
      <c r="A17" s="22" t="str">
        <f ca="1">IFERROR(__xludf.DUMMYFUNCTION("""COMPUTED_VALUE"""),"Palmas")</f>
        <v>Palmas</v>
      </c>
      <c r="B17" s="22" t="str">
        <f ca="1">IFERROR(__xludf.DUMMYFUNCTION("""COMPUTED_VALUE"""),"Palmas")</f>
        <v>Palmas</v>
      </c>
      <c r="C17" s="22" t="str">
        <f ca="1">IFERROR(__xludf.DUMMYFUNCTION("""COMPUTED_VALUE"""),"ASSOC. DE APOIO COL. EST. DE TAQUARALTO")</f>
        <v>ASSOC. DE APOIO COL. EST. DE TAQUARALTO</v>
      </c>
      <c r="D17" s="23" t="str">
        <f ca="1">IFERROR(__xludf.DUMMYFUNCTION("""COMPUTED_VALUE"""),"03233677000168")</f>
        <v>03233677000168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12028.8</v>
      </c>
      <c r="L17" s="27">
        <v>2108.4</v>
      </c>
      <c r="M17" s="28" t="str">
        <f ca="1">IFERROR(__xludf.DUMMYFUNCTION("""COMPUTED_VALUE"""),"001")</f>
        <v>001</v>
      </c>
      <c r="N17" s="28" t="str">
        <f ca="1">IFERROR(__xludf.DUMMYFUNCTION("""COMPUTED_VALUE"""),"1505")</f>
        <v>1505</v>
      </c>
      <c r="O17" s="28" t="str">
        <f ca="1">IFERROR(__xludf.DUMMYFUNCTION("""COMPUTED_VALUE"""),"455059")</f>
        <v>455059</v>
      </c>
      <c r="P17" s="41">
        <v>14137.199999999999</v>
      </c>
    </row>
    <row r="18" spans="1:16" s="8" customFormat="1" ht="21.95" customHeight="1">
      <c r="A18" s="30" t="str">
        <f ca="1">IFERROR(__xludf.DUMMYFUNCTION("""COMPUTED_VALUE"""),"Palmas")</f>
        <v>Palmas</v>
      </c>
      <c r="B18" s="30" t="str">
        <f ca="1">IFERROR(__xludf.DUMMYFUNCTION("""COMPUTED_VALUE"""),"Palmas")</f>
        <v>Palmas</v>
      </c>
      <c r="C18" s="30" t="str">
        <f ca="1">IFERROR(__xludf.DUMMYFUNCTION("""COMPUTED_VALUE"""),"A.AP. DO COL. EST. SANTA RITA DE CASSIA")</f>
        <v>A.AP. DO COL. EST. SANTA RITA DE CASSIA</v>
      </c>
      <c r="D18" s="31" t="str">
        <f ca="1">IFERROR(__xludf.DUMMYFUNCTION("""COMPUTED_VALUE"""),"01955414000137")</f>
        <v>01955414000137</v>
      </c>
      <c r="E18" s="32">
        <v>0</v>
      </c>
      <c r="F18" s="32">
        <v>0</v>
      </c>
      <c r="G18" s="32">
        <v>117.6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3" t="str">
        <f ca="1">IFERROR(__xludf.DUMMYFUNCTION("""COMPUTED_VALUE"""),"001")</f>
        <v>001</v>
      </c>
      <c r="N18" s="33" t="str">
        <f ca="1">IFERROR(__xludf.DUMMYFUNCTION("""COMPUTED_VALUE"""),"1505")</f>
        <v>1505</v>
      </c>
      <c r="O18" s="33" t="str">
        <f ca="1">IFERROR(__xludf.DUMMYFUNCTION("""COMPUTED_VALUE"""),"256579")</f>
        <v>256579</v>
      </c>
      <c r="P18" s="34">
        <v>117.6</v>
      </c>
    </row>
    <row r="19" spans="1:16" s="8" customFormat="1" ht="21.95" customHeight="1">
      <c r="A19" s="22" t="str">
        <f ca="1">IFERROR(__xludf.DUMMYFUNCTION("""COMPUTED_VALUE"""),"Palmas")</f>
        <v>Palmas</v>
      </c>
      <c r="B19" s="22" t="str">
        <f ca="1">IFERROR(__xludf.DUMMYFUNCTION("""COMPUTED_VALUE"""),"Palmas")</f>
        <v>Palmas</v>
      </c>
      <c r="C19" s="22" t="str">
        <f ca="1">IFERROR(__xludf.DUMMYFUNCTION("""COMPUTED_VALUE"""),"ASSOC. COMUN.ESCOLAR DA ESC. EST. TIRADENTES")</f>
        <v>ASSOC. COMUN.ESCOLAR DA ESC. EST. TIRADENTES</v>
      </c>
      <c r="D19" s="23" t="str">
        <f ca="1">IFERROR(__xludf.DUMMYFUNCTION("""COMPUTED_VALUE"""),"00862122000197")</f>
        <v>00862122000197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8299.2000000000007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IFERROR(__xludf.DUMMYFUNCTION("""COMPUTED_VALUE"""),"1505")</f>
        <v>1505</v>
      </c>
      <c r="O19" s="28" t="str">
        <f ca="1">IFERROR(__xludf.DUMMYFUNCTION("""COMPUTED_VALUE"""),"250562")</f>
        <v>250562</v>
      </c>
      <c r="P19" s="41">
        <v>8299.2000000000007</v>
      </c>
    </row>
    <row r="20" spans="1:16" s="8" customFormat="1" ht="21.95" customHeight="1">
      <c r="A20" s="35" t="str">
        <f ca="1">IFERROR(__xludf.DUMMYFUNCTION("""COMPUTED_VALUE"""),"Palmas")</f>
        <v>Palmas</v>
      </c>
      <c r="B20" s="30" t="str">
        <f ca="1">IFERROR(__xludf.DUMMYFUNCTION("""COMPUTED_VALUE"""),"Palmas")</f>
        <v>Palmas</v>
      </c>
      <c r="C20" s="36" t="str">
        <f ca="1">IFERROR(__xludf.DUMMYFUNCTION("""COMPUTED_VALUE"""),"ASSOCIAÇÃO DE APOIO A ESC. ESTADUAL DA 403 SUL")</f>
        <v>ASSOCIAÇÃO DE APOIO A ESC. ESTADUAL DA 403 SUL</v>
      </c>
      <c r="D20" s="37" t="str">
        <f ca="1">IFERROR(__xludf.DUMMYFUNCTION("""COMPUTED_VALUE"""),"11332101000186")</f>
        <v>11332101000186</v>
      </c>
      <c r="E20" s="38">
        <v>0</v>
      </c>
      <c r="F20" s="38">
        <v>0</v>
      </c>
      <c r="G20" s="38">
        <v>0</v>
      </c>
      <c r="H20" s="38">
        <v>6787.2</v>
      </c>
      <c r="I20" s="38">
        <v>0</v>
      </c>
      <c r="J20" s="38">
        <v>0</v>
      </c>
      <c r="K20" s="38">
        <v>0</v>
      </c>
      <c r="L20" s="38">
        <v>0</v>
      </c>
      <c r="M20" s="39" t="str">
        <f ca="1">IFERROR(__xludf.DUMMYFUNCTION("""COMPUTED_VALUE"""),"001")</f>
        <v>001</v>
      </c>
      <c r="N20" s="39" t="str">
        <f ca="1">IFERROR(__xludf.DUMMYFUNCTION("""COMPUTED_VALUE"""),"1505")</f>
        <v>1505</v>
      </c>
      <c r="O20" s="39" t="str">
        <f ca="1">IFERROR(__xludf.DUMMYFUNCTION("""COMPUTED_VALUE"""),"467588")</f>
        <v>467588</v>
      </c>
      <c r="P20" s="29">
        <v>6787.2</v>
      </c>
    </row>
    <row r="21" spans="1:16" s="8" customFormat="1" ht="21.95" customHeight="1">
      <c r="A21" s="22" t="str">
        <f ca="1">IFERROR(__xludf.DUMMYFUNCTION("""COMPUTED_VALUE"""),"Palmas")</f>
        <v>Palmas</v>
      </c>
      <c r="B21" s="22" t="str">
        <f ca="1">IFERROR(__xludf.DUMMYFUNCTION("""COMPUTED_VALUE"""),"Palmas")</f>
        <v>Palmas</v>
      </c>
      <c r="C21" s="22" t="str">
        <f ca="1">IFERROR(__xludf.DUMMYFUNCTION("""COMPUTED_VALUE"""),"A.C.ESC.M.FUT. C.E. CRIANCA ESPERANCA")</f>
        <v>A.C.ESC.M.FUT. C.E. CRIANCA ESPERANCA</v>
      </c>
      <c r="D21" s="23" t="str">
        <f ca="1">IFERROR(__xludf.DUMMYFUNCTION("""COMPUTED_VALUE"""),"01920781000103")</f>
        <v>01920781000103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2301.6</v>
      </c>
      <c r="L21" s="27">
        <v>3477.6</v>
      </c>
      <c r="M21" s="28" t="str">
        <f ca="1">IFERROR(__xludf.DUMMYFUNCTION("""COMPUTED_VALUE"""),"001")</f>
        <v>001</v>
      </c>
      <c r="N21" s="28" t="str">
        <f ca="1">IFERROR(__xludf.DUMMYFUNCTION("""COMPUTED_VALUE"""),"1505")</f>
        <v>1505</v>
      </c>
      <c r="O21" s="28" t="str">
        <f ca="1">IFERROR(__xludf.DUMMYFUNCTION("""COMPUTED_VALUE"""),"455369")</f>
        <v>455369</v>
      </c>
      <c r="P21" s="41">
        <v>5779.2</v>
      </c>
    </row>
    <row r="22" spans="1:16" s="8" customFormat="1" ht="21.95" customHeight="1">
      <c r="A22" s="30" t="str">
        <f ca="1">IFERROR(__xludf.DUMMYFUNCTION("""COMPUTED_VALUE"""),"Palmas")</f>
        <v>Palmas</v>
      </c>
      <c r="B22" s="30" t="str">
        <f ca="1">IFERROR(__xludf.DUMMYFUNCTION("""COMPUTED_VALUE"""),"Palmas")</f>
        <v>Palmas</v>
      </c>
      <c r="C22" s="30" t="str">
        <f ca="1">IFERROR(__xludf.DUMMYFUNCTION("""COMPUTED_VALUE"""),"A. COM. E-E. E. DOM ALANO MARIE DU NODAY")</f>
        <v>A. COM. E-E. E. DOM ALANO MARIE DU NODAY</v>
      </c>
      <c r="D22" s="31" t="str">
        <f ca="1">IFERROR(__xludf.DUMMYFUNCTION("""COMPUTED_VALUE"""),"01343125000187")</f>
        <v>01343125000187</v>
      </c>
      <c r="E22" s="32">
        <v>0</v>
      </c>
      <c r="F22" s="32">
        <v>0</v>
      </c>
      <c r="G22" s="32">
        <v>0</v>
      </c>
      <c r="H22" s="32">
        <v>2192.4</v>
      </c>
      <c r="I22" s="32">
        <v>0</v>
      </c>
      <c r="J22" s="32">
        <v>0</v>
      </c>
      <c r="K22" s="32">
        <v>6325.2</v>
      </c>
      <c r="L22" s="32">
        <v>764.4</v>
      </c>
      <c r="M22" s="33" t="str">
        <f ca="1">IFERROR(__xludf.DUMMYFUNCTION("""COMPUTED_VALUE"""),"001")</f>
        <v>001</v>
      </c>
      <c r="N22" s="33" t="str">
        <f ca="1">IFERROR(__xludf.DUMMYFUNCTION("""COMPUTED_VALUE"""),"1505")</f>
        <v>1505</v>
      </c>
      <c r="O22" s="33" t="str">
        <f ca="1">IFERROR(__xludf.DUMMYFUNCTION("""COMPUTED_VALUE"""),"265810")</f>
        <v>265810</v>
      </c>
      <c r="P22" s="34">
        <v>9282</v>
      </c>
    </row>
    <row r="23" spans="1:16" s="8" customFormat="1" ht="21.95" customHeight="1">
      <c r="A23" s="22" t="str">
        <f ca="1">IFERROR(__xludf.DUMMYFUNCTION("""COMPUTED_VALUE"""),"Palmas")</f>
        <v>Palmas</v>
      </c>
      <c r="B23" s="22" t="str">
        <f ca="1">IFERROR(__xludf.DUMMYFUNCTION("""COMPUTED_VALUE"""),"Palmas")</f>
        <v>Palmas</v>
      </c>
      <c r="C23" s="22" t="str">
        <f ca="1">IFERROR(__xludf.DUMMYFUNCTION("""COMPUTED_VALUE"""),"ACE COL. EST. DUQUE DE CAXIAS")</f>
        <v>ACE COL. EST. DUQUE DE CAXIAS</v>
      </c>
      <c r="D23" s="23" t="str">
        <f ca="1">IFERROR(__xludf.DUMMYFUNCTION("""COMPUTED_VALUE"""),"01588669000109")</f>
        <v>01588669000109</v>
      </c>
      <c r="E23" s="27">
        <v>0</v>
      </c>
      <c r="F23" s="27">
        <v>0</v>
      </c>
      <c r="G23" s="27">
        <v>126</v>
      </c>
      <c r="H23" s="27">
        <v>1226.4000000000001</v>
      </c>
      <c r="I23" s="27">
        <v>0</v>
      </c>
      <c r="J23" s="27">
        <v>0</v>
      </c>
      <c r="K23" s="27">
        <v>2074.8000000000002</v>
      </c>
      <c r="L23" s="27">
        <v>621.6</v>
      </c>
      <c r="M23" s="28" t="str">
        <f ca="1">IFERROR(__xludf.DUMMYFUNCTION("""COMPUTED_VALUE"""),"001")</f>
        <v>001</v>
      </c>
      <c r="N23" s="28" t="str">
        <f ca="1">IFERROR(__xludf.DUMMYFUNCTION("""COMPUTED_VALUE"""),"1505")</f>
        <v>1505</v>
      </c>
      <c r="O23" s="28" t="str">
        <f ca="1">IFERROR(__xludf.DUMMYFUNCTION("""COMPUTED_VALUE"""),"254002")</f>
        <v>254002</v>
      </c>
      <c r="P23" s="41">
        <v>4048.8</v>
      </c>
    </row>
    <row r="24" spans="1:16" s="8" customFormat="1" ht="21.95" customHeight="1">
      <c r="A24" s="30" t="str">
        <f ca="1">IFERROR(__xludf.DUMMYFUNCTION("""COMPUTED_VALUE"""),"Palmas")</f>
        <v>Palmas</v>
      </c>
      <c r="B24" s="30" t="str">
        <f ca="1">IFERROR(__xludf.DUMMYFUNCTION("""COMPUTED_VALUE"""),"Palmas")</f>
        <v>Palmas</v>
      </c>
      <c r="C24" s="30" t="str">
        <f ca="1">IFERROR(__xludf.DUMMYFUNCTION("""COMPUTED_VALUE"""),"ASSOC APOIO COL EST PROF DARCY CHAVES CARDEAL")</f>
        <v>ASSOC APOIO COL EST PROF DARCY CHAVES CARDEAL</v>
      </c>
      <c r="D24" s="31" t="str">
        <f ca="1">IFERROR(__xludf.DUMMYFUNCTION("""COMPUTED_VALUE"""),"08056007000137")</f>
        <v>08056007000137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1738.8</v>
      </c>
      <c r="L24" s="32">
        <v>1806</v>
      </c>
      <c r="M24" s="33" t="str">
        <f ca="1">IFERROR(__xludf.DUMMYFUNCTION("""COMPUTED_VALUE"""),"001")</f>
        <v>001</v>
      </c>
      <c r="N24" s="33" t="str">
        <f ca="1">IFERROR(__xludf.DUMMYFUNCTION("""COMPUTED_VALUE"""),"3962")</f>
        <v>3962</v>
      </c>
      <c r="O24" s="33" t="str">
        <f ca="1">IFERROR(__xludf.DUMMYFUNCTION("""COMPUTED_VALUE"""),"197653")</f>
        <v>197653</v>
      </c>
      <c r="P24" s="34">
        <v>3544.8</v>
      </c>
    </row>
    <row r="25" spans="1:16" s="8" customFormat="1" ht="21.95" customHeight="1">
      <c r="A25" s="22" t="str">
        <f ca="1">IFERROR(__xludf.DUMMYFUNCTION("""COMPUTED_VALUE"""),"Palmas")</f>
        <v>Palmas</v>
      </c>
      <c r="B25" s="22" t="str">
        <f ca="1">IFERROR(__xludf.DUMMYFUNCTION("""COMPUTED_VALUE"""),"Palmas")</f>
        <v>Palmas</v>
      </c>
      <c r="C25" s="22" t="str">
        <f ca="1">IFERROR(__xludf.DUMMYFUNCTION("""COMPUTED_VALUE"""),"A.A. AO COLEGIO ESTADUAL SAO JOSE")</f>
        <v>A.A. AO COLEGIO ESTADUAL SAO JOSE</v>
      </c>
      <c r="D25" s="23" t="str">
        <f ca="1">IFERROR(__xludf.DUMMYFUNCTION("""COMPUTED_VALUE"""),"01913809000177")</f>
        <v>01913809000177</v>
      </c>
      <c r="E25" s="27">
        <v>0</v>
      </c>
      <c r="F25" s="27">
        <v>0</v>
      </c>
      <c r="G25" s="27">
        <v>159.6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IFERROR(__xludf.DUMMYFUNCTION("""COMPUTED_VALUE"""),"1886")</f>
        <v>1886</v>
      </c>
      <c r="O25" s="28" t="str">
        <f ca="1">IFERROR(__xludf.DUMMYFUNCTION("""COMPUTED_VALUE"""),"325252")</f>
        <v>325252</v>
      </c>
      <c r="P25" s="41">
        <v>159.6</v>
      </c>
    </row>
    <row r="26" spans="1:16" s="8" customFormat="1" ht="21.95" customHeight="1">
      <c r="A26" s="30" t="str">
        <f ca="1">IFERROR(__xludf.DUMMYFUNCTION("""COMPUTED_VALUE"""),"Palmas")</f>
        <v>Palmas</v>
      </c>
      <c r="B26" s="30" t="str">
        <f ca="1">IFERROR(__xludf.DUMMYFUNCTION("""COMPUTED_VALUE"""),"Palmas")</f>
        <v>Palmas</v>
      </c>
      <c r="C26" s="30" t="str">
        <f ca="1">IFERROR(__xludf.DUMMYFUNCTION("""COMPUTED_VALUE"""),"A.A. COL GIRASSOL TEMPO INTEGRAL RAQUEL QUEIROZ")</f>
        <v>A.A. COL GIRASSOL TEMPO INTEGRAL RAQUEL QUEIROZ</v>
      </c>
      <c r="D26" s="31" t="str">
        <f ca="1">IFERROR(__xludf.DUMMYFUNCTION("""COMPUTED_VALUE"""),"13748657000183")</f>
        <v>13748657000183</v>
      </c>
      <c r="E26" s="32">
        <v>0</v>
      </c>
      <c r="F26" s="32">
        <v>0</v>
      </c>
      <c r="G26" s="32">
        <v>201.6</v>
      </c>
      <c r="H26" s="32">
        <v>0</v>
      </c>
      <c r="I26" s="32">
        <v>0</v>
      </c>
      <c r="J26" s="32">
        <v>0</v>
      </c>
      <c r="K26" s="32">
        <v>6627.6</v>
      </c>
      <c r="L26" s="32">
        <v>0</v>
      </c>
      <c r="M26" s="33" t="str">
        <f ca="1">IFERROR(__xludf.DUMMYFUNCTION("""COMPUTED_VALUE"""),"001")</f>
        <v>001</v>
      </c>
      <c r="N26" s="33" t="str">
        <f ca="1">IFERROR(__xludf.DUMMYFUNCTION("""COMPUTED_VALUE"""),"1867")</f>
        <v>1867</v>
      </c>
      <c r="O26" s="33" t="str">
        <f ca="1">IFERROR(__xludf.DUMMYFUNCTION("""COMPUTED_VALUE"""),"856312")</f>
        <v>856312</v>
      </c>
      <c r="P26" s="34">
        <v>6829.2000000000007</v>
      </c>
    </row>
    <row r="27" spans="1:16" s="8" customFormat="1" ht="21.95" customHeight="1">
      <c r="A27" s="22" t="str">
        <f ca="1">IFERROR(__xludf.DUMMYFUNCTION("""COMPUTED_VALUE"""),"Palmas")</f>
        <v>Palmas</v>
      </c>
      <c r="B27" s="22" t="str">
        <f ca="1">IFERROR(__xludf.DUMMYFUNCTION("""COMPUTED_VALUE"""),"Palmas")</f>
        <v>Palmas</v>
      </c>
      <c r="C27" s="22" t="str">
        <f ca="1">IFERROR(__xludf.DUMMYFUNCTION("""COMPUTED_VALUE"""),"ASSOCIAÇÃO DE APOIO DA ESCOLA ESPECIAL INTEGRAÇÃO DE PALMAS")</f>
        <v>ASSOCIAÇÃO DE APOIO DA ESCOLA ESPECIAL INTEGRAÇÃO DE PALMAS</v>
      </c>
      <c r="D27" s="23" t="str">
        <f ca="1">IFERROR(__xludf.DUMMYFUNCTION("""COMPUTED_VALUE"""),"07958777000102")</f>
        <v>07958777000102</v>
      </c>
      <c r="E27" s="27">
        <v>228.8</v>
      </c>
      <c r="F27" s="27">
        <v>445.2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974.4</v>
      </c>
      <c r="M27" s="28" t="str">
        <f ca="1">IFERROR(__xludf.DUMMYFUNCTION("""COMPUTED_VALUE"""),"001")</f>
        <v>001</v>
      </c>
      <c r="N27" s="28" t="str">
        <f ca="1">IFERROR(__xludf.DUMMYFUNCTION("""COMPUTED_VALUE"""),"1505")</f>
        <v>1505</v>
      </c>
      <c r="O27" s="28" t="str">
        <f ca="1">IFERROR(__xludf.DUMMYFUNCTION("""COMPUTED_VALUE"""),"385328")</f>
        <v>385328</v>
      </c>
      <c r="P27" s="41">
        <v>1648.4</v>
      </c>
    </row>
    <row r="28" spans="1:16" s="8" customFormat="1" ht="21.95" customHeight="1">
      <c r="A28" s="30" t="str">
        <f ca="1">IFERROR(__xludf.DUMMYFUNCTION("""COMPUTED_VALUE"""),"Palmas")</f>
        <v>Palmas</v>
      </c>
      <c r="B28" s="30" t="str">
        <f ca="1">IFERROR(__xludf.DUMMYFUNCTION("""COMPUTED_VALUE"""),"Palmas")</f>
        <v>Palmas</v>
      </c>
      <c r="C28" s="30" t="str">
        <f ca="1">IFERROR(__xludf.DUMMYFUNCTION("""COMPUTED_VALUE"""),"A.COM. ESC. E. E.BEIRA RIO/PORTO NACIONAL")</f>
        <v>A.COM. ESC. E. E.BEIRA RIO/PORTO NACIONAL</v>
      </c>
      <c r="D28" s="31" t="str">
        <f ca="1">IFERROR(__xludf.DUMMYFUNCTION("""COMPUTED_VALUE"""),"01797298000175")</f>
        <v>01797298000175</v>
      </c>
      <c r="E28" s="32">
        <v>0</v>
      </c>
      <c r="F28" s="32">
        <v>0</v>
      </c>
      <c r="G28" s="32">
        <v>142.80000000000001</v>
      </c>
      <c r="H28" s="32">
        <v>6182.4</v>
      </c>
      <c r="I28" s="32">
        <v>0</v>
      </c>
      <c r="J28" s="32">
        <v>0</v>
      </c>
      <c r="K28" s="32">
        <v>3250.8</v>
      </c>
      <c r="L28" s="32">
        <v>638.4</v>
      </c>
      <c r="M28" s="33" t="str">
        <f ca="1">IFERROR(__xludf.DUMMYFUNCTION("""COMPUTED_VALUE"""),"001")</f>
        <v>001</v>
      </c>
      <c r="N28" s="33" t="str">
        <f ca="1">IFERROR(__xludf.DUMMYFUNCTION("""COMPUTED_VALUE"""),"1505")</f>
        <v>1505</v>
      </c>
      <c r="O28" s="33" t="str">
        <f ca="1">IFERROR(__xludf.DUMMYFUNCTION("""COMPUTED_VALUE"""),"209929")</f>
        <v>209929</v>
      </c>
      <c r="P28" s="34">
        <v>10214.4</v>
      </c>
    </row>
    <row r="29" spans="1:16" s="8" customFormat="1" ht="21.95" customHeight="1">
      <c r="A29" s="22" t="str">
        <f ca="1">IFERROR(__xludf.DUMMYFUNCTION("""COMPUTED_VALUE"""),"Palmas")</f>
        <v>Palmas</v>
      </c>
      <c r="B29" s="22" t="str">
        <f ca="1">IFERROR(__xludf.DUMMYFUNCTION("""COMPUTED_VALUE"""),"Palmas")</f>
        <v>Palmas</v>
      </c>
      <c r="C29" s="22" t="str">
        <f ca="1">IFERROR(__xludf.DUMMYFUNCTION("""COMPUTED_VALUE"""),"ACE UN.ESC. FREDEDERICO J. PEDRERA NETO")</f>
        <v>ACE UN.ESC. FREDEDERICO J. PEDRERA NETO</v>
      </c>
      <c r="D29" s="23" t="str">
        <f ca="1">IFERROR(__xludf.DUMMYFUNCTION("""COMPUTED_VALUE"""),"01862534000190")</f>
        <v>01862534000190</v>
      </c>
      <c r="E29" s="27">
        <v>0</v>
      </c>
      <c r="F29" s="27">
        <v>0</v>
      </c>
      <c r="G29" s="27">
        <v>184.8</v>
      </c>
      <c r="H29" s="27">
        <v>0</v>
      </c>
      <c r="I29" s="27">
        <v>0</v>
      </c>
      <c r="J29" s="27">
        <v>0</v>
      </c>
      <c r="K29" s="27">
        <v>6812.4</v>
      </c>
      <c r="L29" s="27">
        <v>3242.4</v>
      </c>
      <c r="M29" s="28" t="str">
        <f ca="1">IFERROR(__xludf.DUMMYFUNCTION("""COMPUTED_VALUE"""),"001")</f>
        <v>001</v>
      </c>
      <c r="N29" s="28" t="str">
        <f ca="1">IFERROR(__xludf.DUMMYFUNCTION("""COMPUTED_VALUE"""),"1867")</f>
        <v>1867</v>
      </c>
      <c r="O29" s="28" t="str">
        <f ca="1">IFERROR(__xludf.DUMMYFUNCTION("""COMPUTED_VALUE"""),"1079972")</f>
        <v>1079972</v>
      </c>
      <c r="P29" s="41">
        <v>10239.6</v>
      </c>
    </row>
    <row r="30" spans="1:16" s="8" customFormat="1" ht="21.95" customHeight="1">
      <c r="A30" s="30" t="str">
        <f ca="1">IFERROR(__xludf.DUMMYFUNCTION("""COMPUTED_VALUE"""),"Palmas")</f>
        <v>Palmas</v>
      </c>
      <c r="B30" s="30" t="str">
        <f ca="1">IFERROR(__xludf.DUMMYFUNCTION("""COMPUTED_VALUE"""),"Palmas")</f>
        <v>Palmas</v>
      </c>
      <c r="C30" s="30" t="str">
        <f ca="1">IFERROR(__xludf.DUMMYFUNCTION("""COMPUTED_VALUE"""),"A.CONS.ESCOLAR E. EST.I GRAU LIBERDADE")</f>
        <v>A.CONS.ESCOLAR E. EST.I GRAU LIBERDADE</v>
      </c>
      <c r="D30" s="31" t="str">
        <f ca="1">IFERROR(__xludf.DUMMYFUNCTION("""COMPUTED_VALUE"""),"01936355000150")</f>
        <v>01936355000150</v>
      </c>
      <c r="E30" s="32">
        <v>0</v>
      </c>
      <c r="F30" s="32">
        <v>0</v>
      </c>
      <c r="G30" s="32">
        <v>159.6</v>
      </c>
      <c r="H30" s="32">
        <v>2881.2</v>
      </c>
      <c r="I30" s="32">
        <v>0</v>
      </c>
      <c r="J30" s="32">
        <v>0</v>
      </c>
      <c r="K30" s="32">
        <v>3259.2</v>
      </c>
      <c r="L30" s="32">
        <v>4242</v>
      </c>
      <c r="M30" s="33" t="str">
        <f ca="1">IFERROR(__xludf.DUMMYFUNCTION("""COMPUTED_VALUE"""),"001")</f>
        <v>001</v>
      </c>
      <c r="N30" s="33" t="str">
        <f ca="1">IFERROR(__xludf.DUMMYFUNCTION("""COMPUTED_VALUE"""),"1505")</f>
        <v>1505</v>
      </c>
      <c r="O30" s="33" t="str">
        <f ca="1">IFERROR(__xludf.DUMMYFUNCTION("""COMPUTED_VALUE"""),"257028")</f>
        <v>257028</v>
      </c>
      <c r="P30" s="34">
        <v>10542</v>
      </c>
    </row>
    <row r="31" spans="1:16" s="8" customFormat="1" ht="21.95" customHeight="1">
      <c r="A31" s="22" t="str">
        <f ca="1">IFERROR(__xludf.DUMMYFUNCTION("""COMPUTED_VALUE"""),"Palmas")</f>
        <v>Palmas</v>
      </c>
      <c r="B31" s="22" t="str">
        <f ca="1">IFERROR(__xludf.DUMMYFUNCTION("""COMPUTED_VALUE"""),"Palmas")</f>
        <v>Palmas</v>
      </c>
      <c r="C31" s="22" t="str">
        <f ca="1">IFERROR(__xludf.DUMMYFUNCTION("""COMPUTED_VALUE"""),"ASSOC APOIO ESC EST MARIA DOS REIS ALVES BARROS")</f>
        <v>ASSOC APOIO ESC EST MARIA DOS REIS ALVES BARROS</v>
      </c>
      <c r="D31" s="23" t="str">
        <f ca="1">IFERROR(__xludf.DUMMYFUNCTION("""COMPUTED_VALUE"""),"08641263000191")</f>
        <v>08641263000191</v>
      </c>
      <c r="E31" s="27">
        <v>0</v>
      </c>
      <c r="F31" s="27">
        <v>0</v>
      </c>
      <c r="G31" s="27">
        <v>277.2</v>
      </c>
      <c r="H31" s="27">
        <v>8786.4</v>
      </c>
      <c r="I31" s="27">
        <v>0</v>
      </c>
      <c r="J31" s="27">
        <v>0</v>
      </c>
      <c r="K31" s="27">
        <v>3805.2</v>
      </c>
      <c r="L31" s="27">
        <v>1638</v>
      </c>
      <c r="M31" s="28" t="str">
        <f ca="1">IFERROR(__xludf.DUMMYFUNCTION("""COMPUTED_VALUE"""),"001")</f>
        <v>001</v>
      </c>
      <c r="N31" s="28" t="str">
        <f ca="1">IFERROR(__xludf.DUMMYFUNCTION("""COMPUTED_VALUE"""),"1505")</f>
        <v>1505</v>
      </c>
      <c r="O31" s="28" t="str">
        <f ca="1">IFERROR(__xludf.DUMMYFUNCTION("""COMPUTED_VALUE"""),"413666")</f>
        <v>413666</v>
      </c>
      <c r="P31" s="41">
        <v>14506.8</v>
      </c>
    </row>
    <row r="32" spans="1:16" s="8" customFormat="1" ht="21.95" customHeight="1">
      <c r="A32" s="42" t="str">
        <f ca="1">IFERROR(__xludf.DUMMYFUNCTION("""COMPUTED_VALUE"""),"Palmas")</f>
        <v>Palmas</v>
      </c>
      <c r="B32" s="42" t="str">
        <f ca="1">IFERROR(__xludf.DUMMYFUNCTION("""COMPUTED_VALUE"""),"Palmas")</f>
        <v>Palmas</v>
      </c>
      <c r="C32" s="42" t="str">
        <f ca="1">IFERROR(__xludf.DUMMYFUNCTION("""COMPUTED_VALUE"""),"ASSOCIAÇÃO DE APOIO A ESCOLA ESTADUAL NOVA GERAÇÃO")</f>
        <v>ASSOCIAÇÃO DE APOIO A ESCOLA ESTADUAL NOVA GERAÇÃO</v>
      </c>
      <c r="D32" s="43" t="s">
        <v>17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44">
        <v>0</v>
      </c>
      <c r="K32" s="44">
        <v>0</v>
      </c>
      <c r="L32" s="27">
        <v>0</v>
      </c>
      <c r="M32" s="44" t="s">
        <v>16</v>
      </c>
      <c r="N32" s="45" t="s">
        <v>18</v>
      </c>
      <c r="O32" s="45" t="s">
        <v>19</v>
      </c>
      <c r="P32" s="41">
        <v>0</v>
      </c>
    </row>
    <row r="33" spans="1:16" s="8" customFormat="1" ht="21.95" customHeight="1">
      <c r="A33" s="30" t="str">
        <f ca="1">IFERROR(__xludf.DUMMYFUNCTION("""COMPUTED_VALUE"""),"Palmas")</f>
        <v>Palmas</v>
      </c>
      <c r="B33" s="30" t="str">
        <f ca="1">IFERROR(__xludf.DUMMYFUNCTION("""COMPUTED_VALUE"""),"Palmas")</f>
        <v>Palmas</v>
      </c>
      <c r="C33" s="30" t="str">
        <f ca="1">IFERROR(__xludf.DUMMYFUNCTION("""COMPUTED_VALUE"""),"A.COM. DA ESC. EST. NOVO HORIZONTE")</f>
        <v>A.COM. DA ESC. EST. NOVO HORIZONTE</v>
      </c>
      <c r="D33" s="31" t="str">
        <f ca="1">IFERROR(__xludf.DUMMYFUNCTION("""COMPUTED_VALUE"""),"01221539000133")</f>
        <v>01221539000133</v>
      </c>
      <c r="E33" s="32">
        <v>0</v>
      </c>
      <c r="F33" s="32">
        <v>0</v>
      </c>
      <c r="G33" s="32">
        <v>327.60000000000002</v>
      </c>
      <c r="H33" s="32">
        <v>5569.2</v>
      </c>
      <c r="I33" s="32">
        <v>0</v>
      </c>
      <c r="J33" s="32">
        <v>0</v>
      </c>
      <c r="K33" s="32">
        <v>3906</v>
      </c>
      <c r="L33" s="32">
        <v>848.4</v>
      </c>
      <c r="M33" s="33" t="str">
        <f ca="1">IFERROR(__xludf.DUMMYFUNCTION("""COMPUTED_VALUE"""),"001")</f>
        <v>001</v>
      </c>
      <c r="N33" s="33" t="str">
        <f ca="1">IFERROR(__xludf.DUMMYFUNCTION("""COMPUTED_VALUE"""),"1505")</f>
        <v>1505</v>
      </c>
      <c r="O33" s="33" t="str">
        <f ca="1">IFERROR(__xludf.DUMMYFUNCTION("""COMPUTED_VALUE"""),"351687")</f>
        <v>351687</v>
      </c>
      <c r="P33" s="40">
        <v>10651.199999999999</v>
      </c>
    </row>
    <row r="34" spans="1:16" s="8" customFormat="1" ht="21.95" customHeight="1">
      <c r="A34" s="22" t="str">
        <f ca="1">IFERROR(__xludf.DUMMYFUNCTION("""COMPUTED_VALUE"""),"Palmas")</f>
        <v>Palmas</v>
      </c>
      <c r="B34" s="22" t="str">
        <f ca="1">IFERROR(__xludf.DUMMYFUNCTION("""COMPUTED_VALUE"""),"Palmas")</f>
        <v>Palmas</v>
      </c>
      <c r="C34" s="22" t="str">
        <f ca="1">IFERROR(__xludf.DUMMYFUNCTION("""COMPUTED_VALUE"""),"A.A. DA COM. ESCOLAR - ESC. EST. SANTA FE")</f>
        <v>A.A. DA COM. ESCOLAR - ESC. EST. SANTA FE</v>
      </c>
      <c r="D34" s="23" t="str">
        <f ca="1">IFERROR(__xludf.DUMMYFUNCTION("""COMPUTED_VALUE"""),"01932049000145")</f>
        <v>01932049000145</v>
      </c>
      <c r="E34" s="27">
        <v>0</v>
      </c>
      <c r="F34" s="27">
        <v>0</v>
      </c>
      <c r="G34" s="27">
        <v>0</v>
      </c>
      <c r="H34" s="27">
        <v>1268.4000000000001</v>
      </c>
      <c r="I34" s="27">
        <v>0</v>
      </c>
      <c r="J34" s="27">
        <v>0</v>
      </c>
      <c r="K34" s="27">
        <v>1873.2</v>
      </c>
      <c r="L34" s="27">
        <v>0</v>
      </c>
      <c r="M34" s="28" t="str">
        <f ca="1">IFERROR(__xludf.DUMMYFUNCTION("""COMPUTED_VALUE"""),"001")</f>
        <v>001</v>
      </c>
      <c r="N34" s="28" t="str">
        <f ca="1">IFERROR(__xludf.DUMMYFUNCTION("""COMPUTED_VALUE"""),"2781")</f>
        <v>2781</v>
      </c>
      <c r="O34" s="28" t="str">
        <f ca="1">IFERROR(__xludf.DUMMYFUNCTION("""COMPUTED_VALUE"""),"261904")</f>
        <v>261904</v>
      </c>
      <c r="P34" s="41">
        <v>3141.6000000000004</v>
      </c>
    </row>
    <row r="35" spans="1:16" s="8" customFormat="1" ht="21.95" customHeight="1">
      <c r="A35" s="30" t="str">
        <f ca="1">IFERROR(__xludf.DUMMYFUNCTION("""COMPUTED_VALUE"""),"Palmas")</f>
        <v>Palmas</v>
      </c>
      <c r="B35" s="30" t="str">
        <f ca="1">IFERROR(__xludf.DUMMYFUNCTION("""COMPUTED_VALUE"""),"Palmas")</f>
        <v>Palmas</v>
      </c>
      <c r="C35" s="30" t="str">
        <f ca="1">IFERROR(__xludf.DUMMYFUNCTION("""COMPUTED_VALUE"""),"A.COMUN.ESCOLA-DA ESC. EST. SETOR SUL")</f>
        <v>A.COMUN.ESCOLA-DA ESC. EST. SETOR SUL</v>
      </c>
      <c r="D35" s="31" t="str">
        <f ca="1">IFERROR(__xludf.DUMMYFUNCTION("""COMPUTED_VALUE"""),"01926545000196")</f>
        <v>01926545000196</v>
      </c>
      <c r="E35" s="32">
        <v>0</v>
      </c>
      <c r="F35" s="32">
        <v>0</v>
      </c>
      <c r="G35" s="32">
        <v>176.4</v>
      </c>
      <c r="H35" s="32">
        <v>2721.6</v>
      </c>
      <c r="I35" s="32">
        <v>0</v>
      </c>
      <c r="J35" s="32">
        <v>0</v>
      </c>
      <c r="K35" s="32">
        <v>2209.1999999999998</v>
      </c>
      <c r="L35" s="32">
        <v>781.2</v>
      </c>
      <c r="M35" s="33" t="str">
        <f ca="1">IFERROR(__xludf.DUMMYFUNCTION("""COMPUTED_VALUE"""),"001")</f>
        <v>001</v>
      </c>
      <c r="N35" s="33" t="str">
        <f ca="1">IFERROR(__xludf.DUMMYFUNCTION("""COMPUTED_VALUE"""),"1505")</f>
        <v>1505</v>
      </c>
      <c r="O35" s="33" t="str">
        <f ca="1">IFERROR(__xludf.DUMMYFUNCTION("""COMPUTED_VALUE"""),"258105")</f>
        <v>258105</v>
      </c>
      <c r="P35" s="40">
        <v>5888.4</v>
      </c>
    </row>
    <row r="36" spans="1:16" s="8" customFormat="1" ht="21.95" customHeight="1">
      <c r="A36" s="22" t="str">
        <f ca="1">IFERROR(__xludf.DUMMYFUNCTION("""COMPUTED_VALUE"""),"Palmas")</f>
        <v>Palmas</v>
      </c>
      <c r="B36" s="22" t="str">
        <f ca="1">IFERROR(__xludf.DUMMYFUNCTION("""COMPUTED_VALUE"""),"Palmas")</f>
        <v>Palmas</v>
      </c>
      <c r="C36" s="22" t="str">
        <f ca="1">IFERROR(__xludf.DUMMYFUNCTION("""COMPUTED_VALUE"""),"A.COMUNIDADE ESCOLA/E. EST. VALE DO SOL")</f>
        <v>A.COMUNIDADE ESCOLA/E. EST. VALE DO SOL</v>
      </c>
      <c r="D36" s="23" t="str">
        <f ca="1">IFERROR(__xludf.DUMMYFUNCTION("""COMPUTED_VALUE"""),"01873442000105")</f>
        <v>01873442000105</v>
      </c>
      <c r="E36" s="27">
        <v>0</v>
      </c>
      <c r="F36" s="27">
        <v>0</v>
      </c>
      <c r="G36" s="27">
        <v>84</v>
      </c>
      <c r="H36" s="27">
        <v>1898.4</v>
      </c>
      <c r="I36" s="27">
        <v>0</v>
      </c>
      <c r="J36" s="27">
        <v>0</v>
      </c>
      <c r="K36" s="27">
        <v>2032.8</v>
      </c>
      <c r="L36" s="27">
        <v>0</v>
      </c>
      <c r="M36" s="28" t="str">
        <f ca="1">IFERROR(__xludf.DUMMYFUNCTION("""COMPUTED_VALUE"""),"001")</f>
        <v>001</v>
      </c>
      <c r="N36" s="28" t="str">
        <f ca="1">IFERROR(__xludf.DUMMYFUNCTION("""COMPUTED_VALUE"""),"1505")</f>
        <v>1505</v>
      </c>
      <c r="O36" s="28" t="str">
        <f ca="1">IFERROR(__xludf.DUMMYFUNCTION("""COMPUTED_VALUE"""),"256404")</f>
        <v>256404</v>
      </c>
      <c r="P36" s="41">
        <v>4015.2</v>
      </c>
    </row>
    <row r="37" spans="1:16" s="8" customFormat="1" ht="21.95" customHeight="1">
      <c r="A37" s="30" t="str">
        <f ca="1">IFERROR(__xludf.DUMMYFUNCTION("""COMPUTED_VALUE"""),"Palmas")</f>
        <v>Palmas</v>
      </c>
      <c r="B37" s="30" t="str">
        <f ca="1">IFERROR(__xludf.DUMMYFUNCTION("""COMPUTED_VALUE"""),"Palmas")</f>
        <v>Palmas</v>
      </c>
      <c r="C37" s="30" t="str">
        <f ca="1">IFERROR(__xludf.DUMMYFUNCTION("""COMPUTED_VALUE"""),"A.P.M.DA ESC. EST. DE I GRAU VILA UNIAO")</f>
        <v>A.P.M.DA ESC. EST. DE I GRAU VILA UNIAO</v>
      </c>
      <c r="D37" s="31" t="str">
        <f ca="1">IFERROR(__xludf.DUMMYFUNCTION("""COMPUTED_VALUE"""),"01926551000143")</f>
        <v>01926551000143</v>
      </c>
      <c r="E37" s="32">
        <v>0</v>
      </c>
      <c r="F37" s="32">
        <v>0</v>
      </c>
      <c r="G37" s="32">
        <v>117.6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3" t="str">
        <f ca="1">IFERROR(__xludf.DUMMYFUNCTION("""COMPUTED_VALUE"""),"001")</f>
        <v>001</v>
      </c>
      <c r="N37" s="33" t="str">
        <f ca="1">IFERROR(__xludf.DUMMYFUNCTION("""COMPUTED_VALUE"""),"1505")</f>
        <v>1505</v>
      </c>
      <c r="O37" s="33" t="str">
        <f ca="1">IFERROR(__xludf.DUMMYFUNCTION("""COMPUTED_VALUE"""),"255734")</f>
        <v>255734</v>
      </c>
      <c r="P37" s="40">
        <v>117.6</v>
      </c>
    </row>
    <row r="38" spans="1:16" s="8" customFormat="1" ht="21.95" customHeight="1">
      <c r="A38" s="22" t="str">
        <f ca="1">IFERROR(__xludf.DUMMYFUNCTION("""COMPUTED_VALUE"""),"Palmas")</f>
        <v>Palmas</v>
      </c>
      <c r="B38" s="22" t="str">
        <f ca="1">IFERROR(__xludf.DUMMYFUNCTION("""COMPUTED_VALUE"""),"Palmas")</f>
        <v>Palmas</v>
      </c>
      <c r="C38" s="22" t="str">
        <f ca="1">IFERROR(__xludf.DUMMYFUNCTION("""COMPUTED_VALUE"""),"AÇÃO SOCIAL JESUS DE NAZARÉ/ESC JOÃO PAULO II")</f>
        <v>AÇÃO SOCIAL JESUS DE NAZARÉ/ESC JOÃO PAULO II</v>
      </c>
      <c r="D38" s="23" t="str">
        <f ca="1">IFERROR(__xludf.DUMMYFUNCTION("""COMPUTED_VALUE"""),"03005522000174")</f>
        <v>03005522000174</v>
      </c>
      <c r="E38" s="27">
        <v>0</v>
      </c>
      <c r="F38" s="27">
        <v>0</v>
      </c>
      <c r="G38" s="27">
        <v>0</v>
      </c>
      <c r="H38" s="27">
        <v>2452.8000000000002</v>
      </c>
      <c r="I38" s="27">
        <v>0</v>
      </c>
      <c r="J38" s="27">
        <v>0</v>
      </c>
      <c r="K38" s="27">
        <v>0</v>
      </c>
      <c r="L38" s="27">
        <v>0</v>
      </c>
      <c r="M38" s="28" t="str">
        <f ca="1">IFERROR(__xludf.DUMMYFUNCTION("""COMPUTED_VALUE"""),"001")</f>
        <v>001</v>
      </c>
      <c r="N38" s="28" t="str">
        <f ca="1">IFERROR(__xludf.DUMMYFUNCTION("""COMPUTED_VALUE"""),"1505")</f>
        <v>1505</v>
      </c>
      <c r="O38" s="28" t="str">
        <f ca="1">IFERROR(__xludf.DUMMYFUNCTION("""COMPUTED_VALUE"""),"423475")</f>
        <v>423475</v>
      </c>
      <c r="P38" s="41">
        <v>2452.8000000000002</v>
      </c>
    </row>
    <row r="39" spans="1:16" s="8" customFormat="1" ht="21.95" customHeight="1">
      <c r="A39" s="30" t="str">
        <f ca="1">IFERROR(__xludf.DUMMYFUNCTION("""COMPUTED_VALUE"""),"Palmas")</f>
        <v>Palmas</v>
      </c>
      <c r="B39" s="30" t="str">
        <f ca="1">IFERROR(__xludf.DUMMYFUNCTION("""COMPUTED_VALUE"""),"Palmas")</f>
        <v>Palmas</v>
      </c>
      <c r="C39" s="30" t="str">
        <f ca="1">IFERROR(__xludf.DUMMYFUNCTION("""COMPUTED_VALUE"""),"A.A. DO INST.PRESB.EDUC.SOC.REV.ROBERT CA")</f>
        <v>A.A. DO INST.PRESB.EDUC.SOC.REV.ROBERT CA</v>
      </c>
      <c r="D39" s="31" t="str">
        <f ca="1">IFERROR(__xludf.DUMMYFUNCTION("""COMPUTED_VALUE"""),"05470057000178")</f>
        <v>05470057000178</v>
      </c>
      <c r="E39" s="32">
        <v>0</v>
      </c>
      <c r="F39" s="32">
        <v>0</v>
      </c>
      <c r="G39" s="32">
        <v>0</v>
      </c>
      <c r="H39" s="32">
        <v>4166.3999999999996</v>
      </c>
      <c r="I39" s="32">
        <v>0</v>
      </c>
      <c r="J39" s="32">
        <v>0</v>
      </c>
      <c r="K39" s="32">
        <v>0</v>
      </c>
      <c r="L39" s="32">
        <v>0</v>
      </c>
      <c r="M39" s="33" t="str">
        <f ca="1">IFERROR(__xludf.DUMMYFUNCTION("""COMPUTED_VALUE"""),"001")</f>
        <v>001</v>
      </c>
      <c r="N39" s="33" t="str">
        <f ca="1">IFERROR(__xludf.DUMMYFUNCTION("""COMPUTED_VALUE"""),"1505")</f>
        <v>1505</v>
      </c>
      <c r="O39" s="33" t="str">
        <f ca="1">IFERROR(__xludf.DUMMYFUNCTION("""COMPUTED_VALUE"""),"45110X")</f>
        <v>45110X</v>
      </c>
      <c r="P39" s="40">
        <v>4166.3999999999996</v>
      </c>
    </row>
    <row r="40" spans="1:16" s="8" customFormat="1" ht="21.95" customHeight="1">
      <c r="A40" s="22" t="str">
        <f ca="1">IFERROR(__xludf.DUMMYFUNCTION("""COMPUTED_VALUE"""),"Palmas")</f>
        <v>Palmas</v>
      </c>
      <c r="B40" s="22" t="str">
        <f ca="1">IFERROR(__xludf.DUMMYFUNCTION("""COMPUTED_VALUE"""),"Palmas")</f>
        <v>Palmas</v>
      </c>
      <c r="C40" s="22" t="str">
        <f ca="1">IFERROR(__xludf.DUMMYFUNCTION("""COMPUTED_VALUE"""),"A.P.E M. DA ESC. EST. MADRE BELEM")</f>
        <v>A.P.E M. DA ESC. EST. MADRE BELEM</v>
      </c>
      <c r="D40" s="23" t="str">
        <f ca="1">IFERROR(__xludf.DUMMYFUNCTION("""COMPUTED_VALUE"""),"01034134000196")</f>
        <v>01034134000196</v>
      </c>
      <c r="E40" s="27">
        <v>0</v>
      </c>
      <c r="F40" s="27">
        <v>0</v>
      </c>
      <c r="G40" s="27">
        <v>159.6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8" t="str">
        <f ca="1">IFERROR(__xludf.DUMMYFUNCTION("""COMPUTED_VALUE"""),"001")</f>
        <v>001</v>
      </c>
      <c r="N40" s="28" t="str">
        <f ca="1">IFERROR(__xludf.DUMMYFUNCTION("""COMPUTED_VALUE"""),"1886")</f>
        <v>1886</v>
      </c>
      <c r="O40" s="28" t="str">
        <f ca="1">IFERROR(__xludf.DUMMYFUNCTION("""COMPUTED_VALUE"""),"519855")</f>
        <v>519855</v>
      </c>
      <c r="P40" s="41">
        <v>159.6</v>
      </c>
    </row>
    <row r="41" spans="1:16" s="8" customFormat="1" ht="21.95" customHeight="1">
      <c r="A41" s="30" t="str">
        <f ca="1">IFERROR(__xludf.DUMMYFUNCTION("""COMPUTED_VALUE"""),"Palmas")</f>
        <v>Palmas</v>
      </c>
      <c r="B41" s="30" t="str">
        <f ca="1">IFERROR(__xludf.DUMMYFUNCTION("""COMPUTED_VALUE"""),"Rio Sono")</f>
        <v>Rio Sono</v>
      </c>
      <c r="C41" s="30" t="str">
        <f ca="1">IFERROR(__xludf.DUMMYFUNCTION("""COMPUTED_VALUE"""),"A. DE PAIS E MESTRES DO COL. EST.RIO SONO")</f>
        <v>A. DE PAIS E MESTRES DO COL. EST.RIO SONO</v>
      </c>
      <c r="D41" s="31" t="str">
        <f ca="1">IFERROR(__xludf.DUMMYFUNCTION("""COMPUTED_VALUE"""),"01184376000166")</f>
        <v>01184376000166</v>
      </c>
      <c r="E41" s="32">
        <v>0</v>
      </c>
      <c r="F41" s="32">
        <v>0</v>
      </c>
      <c r="G41" s="32">
        <v>403.2</v>
      </c>
      <c r="H41" s="32">
        <v>1478.4</v>
      </c>
      <c r="I41" s="32">
        <v>0</v>
      </c>
      <c r="J41" s="32">
        <v>0</v>
      </c>
      <c r="K41" s="32">
        <v>1470</v>
      </c>
      <c r="L41" s="32">
        <v>0</v>
      </c>
      <c r="M41" s="33" t="str">
        <f ca="1">IFERROR(__xludf.DUMMYFUNCTION("""COMPUTED_VALUE"""),"001")</f>
        <v>001</v>
      </c>
      <c r="N41" s="33" t="str">
        <f ca="1">IFERROR(__xludf.DUMMYFUNCTION("""COMPUTED_VALUE"""),"1505")</f>
        <v>1505</v>
      </c>
      <c r="O41" s="33" t="str">
        <f ca="1">IFERROR(__xludf.DUMMYFUNCTION("""COMPUTED_VALUE"""),"530042")</f>
        <v>530042</v>
      </c>
      <c r="P41" s="40">
        <v>3351.6000000000004</v>
      </c>
    </row>
    <row r="42" spans="1:16" s="8" customFormat="1" ht="21.95" customHeight="1">
      <c r="A42" s="22" t="str">
        <f ca="1">IFERROR(__xludf.DUMMYFUNCTION("""COMPUTED_VALUE"""),"Palmas")</f>
        <v>Palmas</v>
      </c>
      <c r="B42" s="22" t="str">
        <f ca="1">IFERROR(__xludf.DUMMYFUNCTION("""COMPUTED_VALUE"""),"Rio Sono")</f>
        <v>Rio Sono</v>
      </c>
      <c r="C42" s="22" t="str">
        <f ca="1">IFERROR(__xludf.DUMMYFUNCTION("""COMPUTED_VALUE"""),"A.A.  ESCOLA EST. IMACULADA CONCEICAO")</f>
        <v>A.A.  ESCOLA EST. IMACULADA CONCEICAO</v>
      </c>
      <c r="D42" s="23" t="str">
        <f ca="1">IFERROR(__xludf.DUMMYFUNCTION("""COMPUTED_VALUE"""),"01197175000101")</f>
        <v>01197175000101</v>
      </c>
      <c r="E42" s="27">
        <v>0</v>
      </c>
      <c r="F42" s="27">
        <v>0</v>
      </c>
      <c r="G42" s="27">
        <v>0</v>
      </c>
      <c r="H42" s="27">
        <v>890.4</v>
      </c>
      <c r="I42" s="27">
        <v>0</v>
      </c>
      <c r="J42" s="27">
        <v>0</v>
      </c>
      <c r="K42" s="27">
        <v>495.6</v>
      </c>
      <c r="L42" s="27">
        <v>0</v>
      </c>
      <c r="M42" s="28" t="str">
        <f ca="1">IFERROR(__xludf.DUMMYFUNCTION("""COMPUTED_VALUE"""),"001")</f>
        <v>001</v>
      </c>
      <c r="N42" s="28" t="str">
        <f ca="1">IFERROR(__xludf.DUMMYFUNCTION("""COMPUTED_VALUE"""),"0862")</f>
        <v>0862</v>
      </c>
      <c r="O42" s="28" t="str">
        <f ca="1">IFERROR(__xludf.DUMMYFUNCTION("""COMPUTED_VALUE"""),"161497")</f>
        <v>161497</v>
      </c>
      <c r="P42" s="41">
        <v>1386</v>
      </c>
    </row>
    <row r="43" spans="1:16" s="8" customFormat="1" ht="21.95" customHeight="1">
      <c r="A43" s="30" t="str">
        <f ca="1">IFERROR(__xludf.DUMMYFUNCTION("""COMPUTED_VALUE"""),"Palmas")</f>
        <v>Palmas</v>
      </c>
      <c r="B43" s="30" t="str">
        <f ca="1">IFERROR(__xludf.DUMMYFUNCTION("""COMPUTED_VALUE"""),"Rio Sono")</f>
        <v>Rio Sono</v>
      </c>
      <c r="C43" s="30" t="str">
        <f ca="1">IFERROR(__xludf.DUMMYFUNCTION("""COMPUTED_VALUE"""),"A.A. ESCOLA ESTADUAL NOVO HORIZONTE")</f>
        <v>A.A. ESCOLA ESTADUAL NOVO HORIZONTE</v>
      </c>
      <c r="D43" s="31" t="str">
        <f ca="1">IFERROR(__xludf.DUMMYFUNCTION("""COMPUTED_VALUE"""),"01197156000177")</f>
        <v>01197156000177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3" t="str">
        <f ca="1">IFERROR(__xludf.DUMMYFUNCTION("""COMPUTED_VALUE"""),"001")</f>
        <v>001</v>
      </c>
      <c r="N43" s="33" t="str">
        <f ca="1">IFERROR(__xludf.DUMMYFUNCTION("""COMPUTED_VALUE"""),"0862")</f>
        <v>0862</v>
      </c>
      <c r="O43" s="33" t="str">
        <f ca="1">IFERROR(__xludf.DUMMYFUNCTION("""COMPUTED_VALUE"""),"162221")</f>
        <v>162221</v>
      </c>
      <c r="P43" s="40">
        <v>0</v>
      </c>
    </row>
    <row r="44" spans="1:16" s="8" customFormat="1" ht="21.95" customHeight="1">
      <c r="A44" s="22" t="str">
        <f ca="1">IFERROR(__xludf.DUMMYFUNCTION("""COMPUTED_VALUE"""),"Palmas")</f>
        <v>Palmas</v>
      </c>
      <c r="B44" s="22" t="str">
        <f ca="1">IFERROR(__xludf.DUMMYFUNCTION("""COMPUTED_VALUE"""),"Santa Tereza do Tocantins")</f>
        <v>Santa Tereza do Tocantins</v>
      </c>
      <c r="C44" s="22" t="str">
        <f ca="1">IFERROR(__xludf.DUMMYFUNCTION("""COMPUTED_VALUE"""),"A.A. C.EST. MANOEL S.DOURADO")</f>
        <v>A.A. C.EST. MANOEL S.DOURADO</v>
      </c>
      <c r="D44" s="23" t="str">
        <f ca="1">IFERROR(__xludf.DUMMYFUNCTION("""COMPUTED_VALUE"""),"01136013000155")</f>
        <v>01136013000155</v>
      </c>
      <c r="E44" s="27">
        <v>0</v>
      </c>
      <c r="F44" s="27">
        <v>0</v>
      </c>
      <c r="G44" s="27">
        <v>0</v>
      </c>
      <c r="H44" s="27">
        <v>504</v>
      </c>
      <c r="I44" s="27">
        <v>0</v>
      </c>
      <c r="J44" s="27">
        <v>0</v>
      </c>
      <c r="K44" s="27">
        <v>966</v>
      </c>
      <c r="L44" s="27">
        <v>0</v>
      </c>
      <c r="M44" s="28" t="str">
        <f ca="1">IFERROR(__xludf.DUMMYFUNCTION("""COMPUTED_VALUE"""),"001")</f>
        <v>001</v>
      </c>
      <c r="N44" s="28" t="str">
        <f ca="1">IFERROR(__xludf.DUMMYFUNCTION("""COMPUTED_VALUE"""),"1117")</f>
        <v>1117</v>
      </c>
      <c r="O44" s="28" t="str">
        <f ca="1">IFERROR(__xludf.DUMMYFUNCTION("""COMPUTED_VALUE"""),"313033")</f>
        <v>313033</v>
      </c>
      <c r="P44" s="41">
        <v>1470</v>
      </c>
    </row>
    <row r="45" spans="1:16" s="8" customFormat="1" ht="21.95" customHeight="1">
      <c r="A45" s="30" t="str">
        <f ca="1">IFERROR(__xludf.DUMMYFUNCTION("""COMPUTED_VALUE"""),"Palmas")</f>
        <v>Palmas</v>
      </c>
      <c r="B45" s="30" t="str">
        <f ca="1">IFERROR(__xludf.DUMMYFUNCTION("""COMPUTED_VALUE"""),"Sao Felix do Tocantins")</f>
        <v>Sao Felix do Tocantins</v>
      </c>
      <c r="C45" s="30" t="str">
        <f ca="1">IFERROR(__xludf.DUMMYFUNCTION("""COMPUTED_VALUE"""),"A. DE AP.ESC. EST. SAGRADO CORACAO DE JESUS")</f>
        <v>A. DE AP.ESC. EST. SAGRADO CORACAO DE JESUS</v>
      </c>
      <c r="D45" s="31" t="str">
        <f ca="1">IFERROR(__xludf.DUMMYFUNCTION("""COMPUTED_VALUE"""),"01656550000126")</f>
        <v>01656550000126</v>
      </c>
      <c r="E45" s="32">
        <v>0</v>
      </c>
      <c r="F45" s="32">
        <v>0</v>
      </c>
      <c r="G45" s="32">
        <v>0</v>
      </c>
      <c r="H45" s="32">
        <v>2545.1999999999998</v>
      </c>
      <c r="I45" s="32">
        <v>0</v>
      </c>
      <c r="J45" s="32">
        <v>0</v>
      </c>
      <c r="K45" s="32">
        <v>722.4</v>
      </c>
      <c r="L45" s="32">
        <v>0</v>
      </c>
      <c r="M45" s="33" t="str">
        <f ca="1">IFERROR(__xludf.DUMMYFUNCTION("""COMPUTED_VALUE"""),"001")</f>
        <v>001</v>
      </c>
      <c r="N45" s="33" t="str">
        <f ca="1">IFERROR(__xludf.DUMMYFUNCTION("""COMPUTED_VALUE"""),"3962")</f>
        <v>3962</v>
      </c>
      <c r="O45" s="33" t="str">
        <f ca="1">IFERROR(__xludf.DUMMYFUNCTION("""COMPUTED_VALUE"""),"147605")</f>
        <v>147605</v>
      </c>
      <c r="P45" s="40">
        <v>3267.6</v>
      </c>
    </row>
  </sheetData>
  <autoFilter ref="A8:P45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5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47047917187</cp:lastModifiedBy>
  <dcterms:modified xsi:type="dcterms:W3CDTF">2019-11-11T17:52:18Z</dcterms:modified>
</cp:coreProperties>
</file>